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<sst xmlns="http://schemas.openxmlformats.org/spreadsheetml/2006/main" count="59" uniqueCount="46">
  <si>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Total N</t>
  </si>
  <si>
    <t>mg/L</t>
  </si>
  <si>
    <t>lb/1000 gal</t>
  </si>
  <si>
    <t>lb/acre-inch</t>
  </si>
  <si>
    <t>Organic N</t>
  </si>
  <si>
    <t>Plant-available N</t>
  </si>
  <si>
    <t>Ammonium N</t>
  </si>
  <si>
    <t>mg/L (ppm)</t>
  </si>
  <si>
    <t>gpm</t>
  </si>
  <si>
    <t>inches depth</t>
  </si>
  <si>
    <t>lb/hr</t>
  </si>
  <si>
    <t>lb/acre</t>
  </si>
  <si>
    <t>lb/field</t>
  </si>
  <si>
    <t>gal/field</t>
  </si>
  <si>
    <t>acre/hr</t>
  </si>
  <si>
    <t>lb N/acre</t>
  </si>
  <si>
    <t>acres</t>
  </si>
  <si>
    <t>Irrigation Rate</t>
  </si>
  <si>
    <t>Field size</t>
  </si>
  <si>
    <t>LW required to achieve target N rate</t>
  </si>
  <si>
    <t>%</t>
  </si>
  <si>
    <t>USER INPUT DATA</t>
  </si>
  <si>
    <t>gal/acre</t>
  </si>
  <si>
    <t>gal/min</t>
  </si>
  <si>
    <t>CALCULATED OUTPUT</t>
  </si>
  <si>
    <t>Table 1. Lagoon water nutrient concentration</t>
  </si>
  <si>
    <t>Table 3. Nutrient application rates</t>
  </si>
  <si>
    <t>Table 2. Lagoon water quantity applied</t>
  </si>
  <si>
    <t>Total P (as P)</t>
  </si>
  <si>
    <t>Total K (as K)</t>
  </si>
  <si>
    <t>if LW applied at pump default gpm</t>
  </si>
  <si>
    <t>if LW applied at target N rate</t>
  </si>
  <si>
    <t>LW applied at default pump gpm capacity</t>
  </si>
  <si>
    <t>UCD Dairy Lagoon Water Nutrient Calculator</t>
  </si>
  <si>
    <t>Lagoon water nutrient concentration (mg/L=ppm)</t>
  </si>
  <si>
    <t>Dairy manure lagoon water nutrient calculator. July 2008. S. Pettygrove, Dept. of Land, Air &amp; Water Resources, UC Davis</t>
  </si>
  <si>
    <t>Organic N plant availability (default - use 45%)</t>
  </si>
  <si>
    <r>
      <t>To convert to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>5</t>
    </r>
    <r>
      <rPr>
        <b/>
        <sz val="10"/>
        <color indexed="8"/>
        <rFont val="Calibri"/>
        <family val="2"/>
      </rPr>
      <t>=2.29xP, 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O=1.2 x K </t>
    </r>
  </si>
  <si>
    <t>Target rate, plant-available N</t>
  </si>
  <si>
    <r>
      <t>Total P (as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O5)</t>
    </r>
  </si>
  <si>
    <r>
      <t>Total K (as 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O)</t>
    </r>
  </si>
  <si>
    <r>
      <t>Ammonium N (NH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-N)</t>
    </r>
  </si>
  <si>
    <r>
      <t>NH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-N plant availability (default - use 90%)</t>
    </r>
  </si>
  <si>
    <r>
      <t xml:space="preserve">*Note, if lagoon water pump rate is left blank, the </t>
    </r>
    <r>
      <rPr>
        <i/>
        <u val="single"/>
        <sz val="9"/>
        <rFont val="Calibri"/>
        <family val="2"/>
      </rPr>
      <t>required</t>
    </r>
    <r>
      <rPr>
        <b/>
        <i/>
        <sz val="9"/>
        <rFont val="Calibri"/>
        <family val="2"/>
      </rPr>
      <t xml:space="preserve"> pumping rate will still be calculated.</t>
    </r>
  </si>
  <si>
    <t>Lagoon water pump rate*</t>
  </si>
  <si>
    <t>To edit non-user input cells, unprotect worksheet. Password = cowpoop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</si>
</sst>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/d/yy\ h:mm\ AM/PM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i/>
      <sz val="9"/>
      <name val="Calibri"/>
      <family val="2"/>
    </font>
    <font>
      <i/>
      <u val="single"/>
      <sz val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8"/>
      <name val="Arial Rounded MT Bold"/>
      <family val="2"/>
    </font>
    <font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Arial Rounded MT Bold"/>
      <family val="2"/>
    </font>
    <font>
      <sz val="10"/>
      <color theme="1"/>
      <name val="Calibri"/>
      <family val="2"/>
    </font>
    <font>
      <i/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indent="2"/>
    </xf>
    <xf numFmtId="0" fontId="45" fillId="0" borderId="0" xfId="0" applyFont="1" applyFill="1" applyBorder="1" applyAlignment="1">
      <alignment horizontal="left" wrapText="1"/>
    </xf>
    <xf numFmtId="1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5" fillId="0" borderId="0" xfId="0" applyFont="1" applyFill="1" applyBorder="1" applyAlignment="1">
      <alignment horizontal="right" wrapText="1" indent="2"/>
    </xf>
    <xf numFmtId="1" fontId="45" fillId="0" borderId="0" xfId="0" applyNumberFormat="1" applyFont="1" applyFill="1" applyBorder="1" applyAlignment="1">
      <alignment horizontal="right" indent="2"/>
    </xf>
    <xf numFmtId="3" fontId="45" fillId="0" borderId="0" xfId="0" applyNumberFormat="1" applyFont="1" applyFill="1" applyBorder="1" applyAlignment="1">
      <alignment horizontal="right" indent="2"/>
    </xf>
    <xf numFmtId="0" fontId="45" fillId="0" borderId="0" xfId="0" applyFont="1" applyFill="1" applyBorder="1" applyAlignment="1">
      <alignment horizontal="right" indent="2"/>
    </xf>
    <xf numFmtId="3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right" indent="2"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33" borderId="10" xfId="0" applyFont="1" applyFill="1" applyBorder="1" applyAlignment="1" applyProtection="1">
      <alignment horizontal="center"/>
      <protection/>
    </xf>
    <xf numFmtId="2" fontId="49" fillId="33" borderId="10" xfId="0" applyNumberFormat="1" applyFont="1" applyFill="1" applyBorder="1" applyAlignment="1" applyProtection="1">
      <alignment horizontal="center"/>
      <protection/>
    </xf>
    <xf numFmtId="1" fontId="49" fillId="33" borderId="11" xfId="0" applyNumberFormat="1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 applyProtection="1">
      <alignment horizontal="center"/>
      <protection/>
    </xf>
    <xf numFmtId="2" fontId="49" fillId="33" borderId="12" xfId="0" applyNumberFormat="1" applyFont="1" applyFill="1" applyBorder="1" applyAlignment="1" applyProtection="1">
      <alignment horizontal="center"/>
      <protection/>
    </xf>
    <xf numFmtId="1" fontId="49" fillId="33" borderId="13" xfId="0" applyNumberFormat="1" applyFont="1" applyFill="1" applyBorder="1" applyAlignment="1" applyProtection="1">
      <alignment horizontal="center"/>
      <protection/>
    </xf>
    <xf numFmtId="1" fontId="49" fillId="33" borderId="12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center"/>
      <protection/>
    </xf>
    <xf numFmtId="2" fontId="49" fillId="33" borderId="14" xfId="0" applyNumberFormat="1" applyFont="1" applyFill="1" applyBorder="1" applyAlignment="1" applyProtection="1">
      <alignment horizontal="center"/>
      <protection/>
    </xf>
    <xf numFmtId="1" fontId="49" fillId="33" borderId="15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right" indent="1"/>
      <protection/>
    </xf>
    <xf numFmtId="0" fontId="51" fillId="0" borderId="18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 horizontal="left"/>
      <protection/>
    </xf>
    <xf numFmtId="0" fontId="52" fillId="6" borderId="19" xfId="0" applyFont="1" applyFill="1" applyBorder="1" applyAlignment="1" applyProtection="1">
      <alignment horizontal="left"/>
      <protection/>
    </xf>
    <xf numFmtId="0" fontId="51" fillId="6" borderId="19" xfId="0" applyFont="1" applyFill="1" applyBorder="1" applyAlignment="1" applyProtection="1">
      <alignment horizontal="right" wrapText="1"/>
      <protection/>
    </xf>
    <xf numFmtId="0" fontId="51" fillId="6" borderId="2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/>
      <protection/>
    </xf>
    <xf numFmtId="0" fontId="53" fillId="0" borderId="17" xfId="0" applyFont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right" wrapText="1" indent="1"/>
      <protection/>
    </xf>
    <xf numFmtId="0" fontId="51" fillId="6" borderId="21" xfId="0" applyFont="1" applyFill="1" applyBorder="1" applyAlignment="1" applyProtection="1">
      <alignment/>
      <protection/>
    </xf>
    <xf numFmtId="0" fontId="51" fillId="6" borderId="21" xfId="0" applyFont="1" applyFill="1" applyBorder="1" applyAlignment="1" applyProtection="1">
      <alignment horizontal="center" wrapText="1"/>
      <protection/>
    </xf>
    <xf numFmtId="0" fontId="51" fillId="6" borderId="18" xfId="0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 horizontal="left" wrapText="1"/>
      <protection/>
    </xf>
    <xf numFmtId="1" fontId="49" fillId="33" borderId="10" xfId="0" applyNumberFormat="1" applyFont="1" applyFill="1" applyBorder="1" applyAlignment="1" applyProtection="1">
      <alignment horizontal="center"/>
      <protection/>
    </xf>
    <xf numFmtId="3" fontId="49" fillId="33" borderId="10" xfId="0" applyNumberFormat="1" applyFont="1" applyFill="1" applyBorder="1" applyAlignment="1" applyProtection="1">
      <alignment horizontal="center"/>
      <protection/>
    </xf>
    <xf numFmtId="3" fontId="49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 indent="1"/>
      <protection/>
    </xf>
    <xf numFmtId="0" fontId="49" fillId="33" borderId="14" xfId="0" applyFont="1" applyFill="1" applyBorder="1" applyAlignment="1" applyProtection="1">
      <alignment horizontal="left" wrapText="1"/>
      <protection/>
    </xf>
    <xf numFmtId="3" fontId="49" fillId="33" borderId="14" xfId="0" applyNumberFormat="1" applyFont="1" applyFill="1" applyBorder="1" applyAlignment="1" applyProtection="1">
      <alignment horizontal="center"/>
      <protection/>
    </xf>
    <xf numFmtId="3" fontId="49" fillId="33" borderId="15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 indent="1"/>
      <protection/>
    </xf>
    <xf numFmtId="0" fontId="0" fillId="0" borderId="22" xfId="0" applyFill="1" applyBorder="1" applyAlignment="1" applyProtection="1">
      <alignment horizontal="right" indent="1"/>
      <protection/>
    </xf>
    <xf numFmtId="0" fontId="0" fillId="0" borderId="23" xfId="0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6" borderId="24" xfId="0" applyFont="1" applyFill="1" applyBorder="1" applyAlignment="1" applyProtection="1">
      <alignment horizontal="left"/>
      <protection/>
    </xf>
    <xf numFmtId="0" fontId="47" fillId="6" borderId="25" xfId="0" applyFont="1" applyFill="1" applyBorder="1" applyAlignment="1" applyProtection="1">
      <alignment horizontal="left"/>
      <protection/>
    </xf>
    <xf numFmtId="0" fontId="54" fillId="6" borderId="26" xfId="0" applyFont="1" applyFill="1" applyBorder="1" applyAlignment="1" applyProtection="1">
      <alignment horizontal="center"/>
      <protection/>
    </xf>
    <xf numFmtId="0" fontId="54" fillId="6" borderId="27" xfId="0" applyFont="1" applyFill="1" applyBorder="1" applyAlignment="1" applyProtection="1">
      <alignment horizontal="center"/>
      <protection/>
    </xf>
    <xf numFmtId="0" fontId="49" fillId="33" borderId="28" xfId="0" applyFont="1" applyFill="1" applyBorder="1" applyAlignment="1" applyProtection="1">
      <alignment horizontal="right" wrapText="1" indent="2"/>
      <protection/>
    </xf>
    <xf numFmtId="1" fontId="49" fillId="33" borderId="29" xfId="0" applyNumberFormat="1" applyFont="1" applyFill="1" applyBorder="1" applyAlignment="1" applyProtection="1">
      <alignment horizontal="center"/>
      <protection/>
    </xf>
    <xf numFmtId="3" fontId="49" fillId="33" borderId="30" xfId="0" applyNumberFormat="1" applyFont="1" applyFill="1" applyBorder="1" applyAlignment="1" applyProtection="1">
      <alignment horizontal="center"/>
      <protection/>
    </xf>
    <xf numFmtId="0" fontId="49" fillId="33" borderId="31" xfId="0" applyFont="1" applyFill="1" applyBorder="1" applyAlignment="1" applyProtection="1">
      <alignment horizontal="right" wrapText="1" indent="2"/>
      <protection/>
    </xf>
    <xf numFmtId="3" fontId="49" fillId="33" borderId="13" xfId="0" applyNumberFormat="1" applyFont="1" applyFill="1" applyBorder="1" applyAlignment="1" applyProtection="1">
      <alignment horizontal="center"/>
      <protection/>
    </xf>
    <xf numFmtId="0" fontId="49" fillId="33" borderId="31" xfId="0" applyFont="1" applyFill="1" applyBorder="1" applyAlignment="1" applyProtection="1">
      <alignment horizontal="right" indent="2"/>
      <protection/>
    </xf>
    <xf numFmtId="0" fontId="49" fillId="33" borderId="32" xfId="0" applyFont="1" applyFill="1" applyBorder="1" applyAlignment="1" applyProtection="1">
      <alignment horizontal="right" indent="2"/>
      <protection/>
    </xf>
    <xf numFmtId="1" fontId="49" fillId="33" borderId="14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right" indent="1"/>
      <protection/>
    </xf>
    <xf numFmtId="2" fontId="45" fillId="0" borderId="0" xfId="0" applyNumberFormat="1" applyFont="1" applyFill="1" applyBorder="1" applyAlignment="1" applyProtection="1">
      <alignment horizontal="right" indent="1"/>
      <protection/>
    </xf>
    <xf numFmtId="1" fontId="45" fillId="0" borderId="0" xfId="0" applyNumberFormat="1" applyFont="1" applyFill="1" applyBorder="1" applyAlignment="1" applyProtection="1">
      <alignment horizontal="right" indent="1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 indent="2"/>
      <protection/>
    </xf>
    <xf numFmtId="0" fontId="4" fillId="0" borderId="0" xfId="0" applyFont="1" applyAlignment="1" applyProtection="1">
      <alignment horizontal="left" wrapText="1"/>
      <protection/>
    </xf>
    <xf numFmtId="165" fontId="0" fillId="0" borderId="0" xfId="0" applyNumberFormat="1" applyFill="1" applyBorder="1" applyAlignment="1" applyProtection="1">
      <alignment horizontal="left"/>
      <protection/>
    </xf>
    <xf numFmtId="0" fontId="56" fillId="34" borderId="17" xfId="0" applyFont="1" applyFill="1" applyBorder="1" applyAlignment="1" applyProtection="1">
      <alignment horizontal="right" indent="3"/>
      <protection locked="0"/>
    </xf>
    <xf numFmtId="0" fontId="56" fillId="0" borderId="33" xfId="0" applyFont="1" applyFill="1" applyBorder="1" applyAlignment="1" applyProtection="1">
      <alignment horizontal="right" indent="3"/>
      <protection locked="0"/>
    </xf>
    <xf numFmtId="1" fontId="56" fillId="34" borderId="17" xfId="0" applyNumberFormat="1" applyFont="1" applyFill="1" applyBorder="1" applyAlignment="1" applyProtection="1">
      <alignment horizontal="right" indent="3"/>
      <protection locked="0"/>
    </xf>
    <xf numFmtId="0" fontId="53" fillId="6" borderId="19" xfId="0" applyFont="1" applyFill="1" applyBorder="1" applyAlignment="1" applyProtection="1">
      <alignment horizontal="center"/>
      <protection/>
    </xf>
    <xf numFmtId="0" fontId="53" fillId="6" borderId="20" xfId="0" applyFont="1" applyFill="1" applyBorder="1" applyAlignment="1" applyProtection="1">
      <alignment horizontal="center"/>
      <protection/>
    </xf>
    <xf numFmtId="0" fontId="57" fillId="0" borderId="34" xfId="0" applyFont="1" applyBorder="1" applyAlignment="1" applyProtection="1">
      <alignment vertical="top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923925</xdr:colOff>
      <xdr:row>12</xdr:row>
      <xdr:rowOff>238125</xdr:rowOff>
    </xdr:from>
    <xdr:ext cx="2419350" cy="276225"/>
    <xdr:sp>
      <xdr:nvSpPr>
        <xdr:cNvPr id="1" name="TextBox 1"/>
        <xdr:cNvSpPr txBox="1">
          <a:spLocks noChangeArrowheads="1"/>
        </xdr:cNvSpPr>
      </xdr:nvSpPr>
      <xdr:spPr>
        <a:xfrm>
          <a:off x="10039350" y="3114675"/>
          <a:ext cx="2419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90" zoomScaleNormal="90" zoomScalePageLayoutView="0" workbookViewId="0" topLeftCell="A1">
      <selection activeCell="B14" sqref="B14"/>
    </sheetView>
  </sheetViews>
  <sheetFormatPr defaultColWidth="9.140625" defaultRowHeight="15"/>
  <cols>
    <col min="1" max="1" width="27.7109375" style="0" customWidth="1"/>
    <col min="2" max="2" width="11.7109375" style="0" customWidth="1"/>
    <col min="3" max="3" width="8.8515625" style="0" customWidth="1"/>
    <col min="4" max="4" width="11.28125" style="0" customWidth="1"/>
    <col min="5" max="5" width="21.140625" style="0" customWidth="1"/>
    <col min="6" max="6" width="11.57421875" style="0" customWidth="1"/>
    <col min="7" max="7" width="11.140625" style="0" customWidth="1"/>
    <col min="8" max="8" width="12.140625" style="0" customWidth="1"/>
    <col min="9" max="9" width="12.00390625" style="0" customWidth="1"/>
    <col min="11" max="11" width="32.57421875" style="0" customWidth="1"/>
    <col min="12" max="12" width="11.421875" style="0" customWidth="1"/>
    <col min="13" max="13" width="11.57421875" style="0" customWidth="1"/>
    <col min="14" max="14" width="17.00390625" style="0" customWidth="1"/>
  </cols>
  <sheetData>
    <row r="1" spans="1:10" ht="38.25" customHeight="1">
      <c r="A1" s="30" t="s">
        <v>33</v>
      </c>
      <c r="B1" s="31"/>
      <c r="C1" s="31"/>
      <c r="D1" s="31"/>
      <c r="E1" s="31"/>
      <c r="F1" s="86" t="s">
        <v>45</v>
      </c>
      <c r="G1" s="87"/>
      <c r="H1" s="87"/>
      <c r="I1" s="87"/>
      <c r="J1" s="87"/>
    </row>
    <row r="2" spans="1:9" ht="15">
      <c r="A2" s="31"/>
      <c r="B2" s="31"/>
      <c r="C2" s="31"/>
      <c r="D2" s="31"/>
      <c r="E2" s="31"/>
      <c r="F2" s="31"/>
      <c r="G2" s="31"/>
      <c r="H2" s="31"/>
      <c r="I2" s="31"/>
    </row>
    <row r="3" spans="1:15" ht="18.75">
      <c r="A3" s="32" t="s">
        <v>21</v>
      </c>
      <c r="B3" s="31"/>
      <c r="C3" s="31"/>
      <c r="D3" s="33"/>
      <c r="E3" s="34" t="s">
        <v>24</v>
      </c>
      <c r="F3" s="31"/>
      <c r="G3" s="31"/>
      <c r="H3" s="31"/>
      <c r="I3" s="31"/>
      <c r="J3" s="1"/>
      <c r="K3" s="3"/>
      <c r="L3" s="3"/>
      <c r="M3" s="3"/>
      <c r="N3" s="3"/>
      <c r="O3" s="3"/>
    </row>
    <row r="4" spans="1:15" ht="18.75">
      <c r="A4" s="35" t="s">
        <v>38</v>
      </c>
      <c r="B4" s="79"/>
      <c r="C4" s="36" t="s">
        <v>15</v>
      </c>
      <c r="D4" s="33"/>
      <c r="E4" s="37" t="s">
        <v>25</v>
      </c>
      <c r="F4" s="31"/>
      <c r="G4" s="31"/>
      <c r="H4" s="31"/>
      <c r="I4" s="31"/>
      <c r="K4" s="2"/>
      <c r="L4" s="3"/>
      <c r="M4" s="3"/>
      <c r="N4" s="3"/>
      <c r="O4" s="3"/>
    </row>
    <row r="5" spans="1:15" ht="15" customHeight="1">
      <c r="A5" s="35" t="s">
        <v>17</v>
      </c>
      <c r="B5" s="79"/>
      <c r="C5" s="36" t="s">
        <v>14</v>
      </c>
      <c r="D5" s="33"/>
      <c r="E5" s="38"/>
      <c r="F5" s="39" t="s">
        <v>7</v>
      </c>
      <c r="G5" s="39" t="s">
        <v>2</v>
      </c>
      <c r="H5" s="40" t="s">
        <v>3</v>
      </c>
      <c r="I5" s="41"/>
      <c r="K5" s="3"/>
      <c r="L5" s="5"/>
      <c r="M5" s="5"/>
      <c r="N5" s="5"/>
      <c r="O5" s="3"/>
    </row>
    <row r="6" spans="1:15" ht="15.75">
      <c r="A6" s="35" t="s">
        <v>44</v>
      </c>
      <c r="B6" s="79"/>
      <c r="C6" s="36" t="s">
        <v>8</v>
      </c>
      <c r="D6" s="33"/>
      <c r="E6" s="20" t="s">
        <v>6</v>
      </c>
      <c r="F6" s="20">
        <f>IF($B$9="","",$B$9)</f>
      </c>
      <c r="G6" s="21">
        <f>IF($B$9="","",$B$9/120)</f>
      </c>
      <c r="H6" s="22">
        <f>IF($B$9="","",$B$9/4.41)</f>
      </c>
      <c r="I6" s="41"/>
      <c r="K6" s="11"/>
      <c r="L6" s="12"/>
      <c r="M6" s="12"/>
      <c r="N6" s="13"/>
      <c r="O6" s="3"/>
    </row>
    <row r="7" spans="1:15" ht="15" customHeight="1">
      <c r="A7" s="35" t="s">
        <v>18</v>
      </c>
      <c r="B7" s="79"/>
      <c r="C7" s="36" t="s">
        <v>16</v>
      </c>
      <c r="D7" s="33"/>
      <c r="E7" s="23" t="s">
        <v>4</v>
      </c>
      <c r="F7" s="23">
        <f>IF($B$10="","",$B$10-$B$9)</f>
      </c>
      <c r="G7" s="24">
        <f>IF($B$10="","",($B$10-$B$9)/120)</f>
      </c>
      <c r="H7" s="25">
        <f>IF($B$10="","",($B$10-$B$9)/4.41)</f>
      </c>
      <c r="I7" s="41"/>
      <c r="K7" s="11"/>
      <c r="L7" s="12"/>
      <c r="M7" s="12"/>
      <c r="N7" s="13"/>
      <c r="O7" s="3"/>
    </row>
    <row r="8" spans="1:15" ht="18.75" customHeight="1">
      <c r="A8" s="42" t="s">
        <v>34</v>
      </c>
      <c r="B8" s="80"/>
      <c r="C8" s="36"/>
      <c r="D8" s="33"/>
      <c r="E8" s="23" t="s">
        <v>5</v>
      </c>
      <c r="F8" s="26">
        <f>IF(OR($B$10="",$B$9="",$B$13="",$B$14=""),"",(($B$13/100)*$B$9)+(($B$14/100)*($B$10-$B$9)))</f>
      </c>
      <c r="G8" s="24">
        <f>IF($F$8="","",F8/120)</f>
      </c>
      <c r="H8" s="25">
        <f>IF($F$8="","",F8/4.41)</f>
      </c>
      <c r="I8" s="41"/>
      <c r="K8" s="11"/>
      <c r="L8" s="12"/>
      <c r="M8" s="12"/>
      <c r="N8" s="13"/>
      <c r="O8" s="3"/>
    </row>
    <row r="9" spans="1:15" ht="15.75">
      <c r="A9" s="35" t="s">
        <v>41</v>
      </c>
      <c r="B9" s="81"/>
      <c r="C9" s="36" t="s">
        <v>1</v>
      </c>
      <c r="D9" s="33"/>
      <c r="E9" s="23" t="s">
        <v>28</v>
      </c>
      <c r="F9" s="23">
        <f>IF($B$11="","",$B$11)</f>
      </c>
      <c r="G9" s="24">
        <f>IF($B$11="","",$B$11/120)</f>
      </c>
      <c r="H9" s="25">
        <f>IF($B$11="","",$B$11/4.41)</f>
      </c>
      <c r="I9" s="41"/>
      <c r="K9" s="11"/>
      <c r="L9" s="12"/>
      <c r="M9" s="12"/>
      <c r="N9" s="13"/>
      <c r="O9" s="3"/>
    </row>
    <row r="10" spans="1:15" ht="15.75">
      <c r="A10" s="35" t="s">
        <v>0</v>
      </c>
      <c r="B10" s="79"/>
      <c r="C10" s="36" t="s">
        <v>1</v>
      </c>
      <c r="D10" s="33"/>
      <c r="E10" s="27" t="s">
        <v>29</v>
      </c>
      <c r="F10" s="27">
        <f>IF($B$12="","",$B$12)</f>
      </c>
      <c r="G10" s="28">
        <f>IF($B$12="","",$B$12/120)</f>
      </c>
      <c r="H10" s="29">
        <f>IF($B$12="","",$B$12/4.41)</f>
      </c>
      <c r="I10" s="41"/>
      <c r="K10" s="14"/>
      <c r="L10" s="12"/>
      <c r="M10" s="12"/>
      <c r="N10" s="13"/>
      <c r="O10" s="3"/>
    </row>
    <row r="11" spans="1:15" ht="21" customHeight="1">
      <c r="A11" s="35" t="s">
        <v>28</v>
      </c>
      <c r="B11" s="79"/>
      <c r="C11" s="36" t="s">
        <v>1</v>
      </c>
      <c r="D11" s="33"/>
      <c r="E11" s="84" t="s">
        <v>37</v>
      </c>
      <c r="F11" s="85"/>
      <c r="G11" s="41"/>
      <c r="H11" s="41"/>
      <c r="I11" s="41"/>
      <c r="K11" s="14"/>
      <c r="L11" s="12"/>
      <c r="M11" s="12"/>
      <c r="N11" s="13"/>
      <c r="O11" s="3"/>
    </row>
    <row r="12" spans="1:15" ht="18.75">
      <c r="A12" s="35" t="s">
        <v>29</v>
      </c>
      <c r="B12" s="79"/>
      <c r="C12" s="36" t="s">
        <v>1</v>
      </c>
      <c r="D12" s="33"/>
      <c r="E12" s="37" t="s">
        <v>27</v>
      </c>
      <c r="F12" s="31"/>
      <c r="G12" s="31"/>
      <c r="H12" s="31"/>
      <c r="I12" s="31"/>
      <c r="K12" s="3"/>
      <c r="L12" s="3"/>
      <c r="M12" s="3"/>
      <c r="N12" s="3"/>
      <c r="O12" s="3"/>
    </row>
    <row r="13" spans="1:15" ht="30" customHeight="1">
      <c r="A13" s="43" t="s">
        <v>42</v>
      </c>
      <c r="B13" s="79"/>
      <c r="C13" s="36" t="s">
        <v>20</v>
      </c>
      <c r="D13" s="33"/>
      <c r="E13" s="44"/>
      <c r="F13" s="45" t="s">
        <v>23</v>
      </c>
      <c r="G13" s="45" t="s">
        <v>22</v>
      </c>
      <c r="H13" s="45" t="s">
        <v>9</v>
      </c>
      <c r="I13" s="46" t="s">
        <v>13</v>
      </c>
      <c r="K13" s="19"/>
      <c r="L13" s="3"/>
      <c r="M13" s="3"/>
      <c r="N13" s="3"/>
      <c r="O13" s="3"/>
    </row>
    <row r="14" spans="1:15" ht="30" customHeight="1">
      <c r="A14" s="43" t="s">
        <v>36</v>
      </c>
      <c r="B14" s="79"/>
      <c r="C14" s="36" t="s">
        <v>20</v>
      </c>
      <c r="D14" s="33"/>
      <c r="E14" s="47" t="s">
        <v>19</v>
      </c>
      <c r="F14" s="48">
        <f>IF(OR($B$4="",$B$5="",$F$8=""),"",$B$4*$B$5*2000/$F$8)</f>
      </c>
      <c r="G14" s="49">
        <f>IF(OR($B$4="",$F$8=""),"",$B$4*120000/$F$8)</f>
      </c>
      <c r="H14" s="21">
        <f>IF(OR($B$4="",$F$8=""),"",$B$4*4.41/$F$8)</f>
      </c>
      <c r="I14" s="50">
        <f>IF(OR(G14="",$B$7=""),"",(G14*$B$7))</f>
      </c>
      <c r="K14" s="3"/>
      <c r="L14" s="5"/>
      <c r="M14" s="5"/>
      <c r="N14" s="5"/>
      <c r="O14" s="3"/>
    </row>
    <row r="15" spans="1:15" ht="37.5" customHeight="1">
      <c r="A15" s="77" t="s">
        <v>43</v>
      </c>
      <c r="B15" s="51"/>
      <c r="C15" s="51"/>
      <c r="D15" s="33"/>
      <c r="E15" s="52" t="s">
        <v>32</v>
      </c>
      <c r="F15" s="27">
        <f>IF($B$6="","",$B$6)</f>
      </c>
      <c r="G15" s="53">
        <f>IF(OR(F15="",$B$5=""),"",F15*60/$B$5)</f>
      </c>
      <c r="H15" s="28">
        <f>IF(G15="","",G15/27157)</f>
      </c>
      <c r="I15" s="54">
        <f>IF(OR(G15="",$B$7=""),"",G15*$B$7)</f>
      </c>
      <c r="K15" s="11"/>
      <c r="L15" s="12"/>
      <c r="M15" s="12"/>
      <c r="N15" s="13"/>
      <c r="O15" s="3"/>
    </row>
    <row r="16" spans="1:15" ht="15.75" thickBot="1">
      <c r="A16" s="55"/>
      <c r="B16" s="56"/>
      <c r="C16" s="56"/>
      <c r="D16" s="57"/>
      <c r="E16" s="31"/>
      <c r="F16" s="31"/>
      <c r="G16" s="31"/>
      <c r="H16" s="31"/>
      <c r="I16" s="31"/>
      <c r="K16" s="11"/>
      <c r="L16" s="12"/>
      <c r="M16" s="12"/>
      <c r="N16" s="13"/>
      <c r="O16" s="3"/>
    </row>
    <row r="17" spans="1:15" ht="18.75">
      <c r="A17" s="58" t="s">
        <v>26</v>
      </c>
      <c r="B17" s="31"/>
      <c r="C17" s="31"/>
      <c r="D17" s="31"/>
      <c r="E17" s="31"/>
      <c r="F17" s="31"/>
      <c r="G17" s="31"/>
      <c r="H17" s="31"/>
      <c r="I17" s="31"/>
      <c r="K17" s="11"/>
      <c r="L17" s="12"/>
      <c r="M17" s="12"/>
      <c r="N17" s="13"/>
      <c r="O17" s="3"/>
    </row>
    <row r="18" spans="1:15" ht="18.75">
      <c r="A18" s="59"/>
      <c r="B18" s="82" t="s">
        <v>30</v>
      </c>
      <c r="C18" s="82"/>
      <c r="D18" s="82"/>
      <c r="E18" s="82" t="s">
        <v>31</v>
      </c>
      <c r="F18" s="82"/>
      <c r="G18" s="83"/>
      <c r="H18" s="31"/>
      <c r="I18" s="31"/>
      <c r="K18" s="11"/>
      <c r="L18" s="12"/>
      <c r="M18" s="12"/>
      <c r="N18" s="13"/>
      <c r="O18" s="3"/>
    </row>
    <row r="19" spans="1:15" ht="18.75">
      <c r="A19" s="60"/>
      <c r="B19" s="61" t="s">
        <v>10</v>
      </c>
      <c r="C19" s="61" t="s">
        <v>11</v>
      </c>
      <c r="D19" s="61" t="s">
        <v>12</v>
      </c>
      <c r="E19" s="61" t="s">
        <v>10</v>
      </c>
      <c r="F19" s="61" t="s">
        <v>11</v>
      </c>
      <c r="G19" s="62" t="s">
        <v>12</v>
      </c>
      <c r="H19" s="31"/>
      <c r="I19" s="31"/>
      <c r="K19" s="14"/>
      <c r="L19" s="12"/>
      <c r="M19" s="12"/>
      <c r="N19" s="13"/>
      <c r="O19" s="3"/>
    </row>
    <row r="20" spans="1:15" ht="15">
      <c r="A20" s="63" t="s">
        <v>5</v>
      </c>
      <c r="B20" s="64">
        <f>IF(OR($F$8="",$B$6=""),"",$F$8*$B$6/2000)</f>
      </c>
      <c r="C20" s="64">
        <f>IF(OR($B$5="",B20=""),"",B20/$B$5)</f>
      </c>
      <c r="D20" s="65">
        <f aca="true" t="shared" si="0" ref="D20:D25">IF(OR(C20="",$B$7=""),"",C20*$B$7)</f>
      </c>
      <c r="E20" s="64">
        <f>IF(OR($F$14="",$F$8=""),"",$F$14*$F$8/2000)</f>
      </c>
      <c r="F20" s="64">
        <f aca="true" t="shared" si="1" ref="F20:F25">IF(OR(E20="",$B$5=""),"",E20/$B$5)</f>
      </c>
      <c r="G20" s="65">
        <f aca="true" t="shared" si="2" ref="G20:G25">IF(OR(F20="",$B$7=""),"",F20*$B$7)</f>
      </c>
      <c r="H20" s="31"/>
      <c r="I20" s="31"/>
      <c r="K20" s="14"/>
      <c r="L20" s="12"/>
      <c r="M20" s="12"/>
      <c r="N20" s="13"/>
      <c r="O20" s="3"/>
    </row>
    <row r="21" spans="1:15" ht="15">
      <c r="A21" s="66" t="s">
        <v>4</v>
      </c>
      <c r="B21" s="26">
        <f>IF(OR($F$7="",B6=""),"",$F$7*$B$6/2000)</f>
      </c>
      <c r="C21" s="26">
        <f>IF(OR(B21="",$B$5=""),"",B21/$B$5)</f>
      </c>
      <c r="D21" s="67">
        <f t="shared" si="0"/>
      </c>
      <c r="E21" s="26">
        <f>IF(OR($F$14="",$F$7=""),"",$F$14*$F$7/2000)</f>
      </c>
      <c r="F21" s="26">
        <f t="shared" si="1"/>
      </c>
      <c r="G21" s="67">
        <f t="shared" si="2"/>
      </c>
      <c r="H21" s="31"/>
      <c r="I21" s="31"/>
      <c r="K21" s="3"/>
      <c r="L21" s="3"/>
      <c r="M21" s="3"/>
      <c r="N21" s="3"/>
      <c r="O21" s="3"/>
    </row>
    <row r="22" spans="1:9" ht="15">
      <c r="A22" s="66" t="s">
        <v>6</v>
      </c>
      <c r="B22" s="26">
        <f>IF(OR($B$9="",$F$6="",$B$6=""),"",$F$6*$B$6/2000)</f>
      </c>
      <c r="C22" s="26">
        <f>IF(OR(B22="",$B$5=""),"",B22/$B$5)</f>
      </c>
      <c r="D22" s="67">
        <f t="shared" si="0"/>
      </c>
      <c r="E22" s="26">
        <f>IF(OR($F$6="",$F$14=""),"",$F$6*$F$14/2000)</f>
      </c>
      <c r="F22" s="26">
        <f t="shared" si="1"/>
      </c>
      <c r="G22" s="67">
        <f t="shared" si="2"/>
      </c>
      <c r="H22" s="31"/>
      <c r="I22" s="31"/>
    </row>
    <row r="23" spans="1:9" ht="15">
      <c r="A23" s="66" t="s">
        <v>0</v>
      </c>
      <c r="B23" s="26">
        <f>IF(OR($B$10="",$B$6=""),"",$B$10*$B$6/2000)</f>
      </c>
      <c r="C23" s="26">
        <f>IF(OR(B23="",$B$5=""),"",B23/$B$5)</f>
      </c>
      <c r="D23" s="67">
        <f t="shared" si="0"/>
      </c>
      <c r="E23" s="26">
        <f>IF(OR($B$10="",$F$14=""),"",$B$10*$F$14/2000)</f>
      </c>
      <c r="F23" s="26">
        <f t="shared" si="1"/>
      </c>
      <c r="G23" s="67">
        <f t="shared" si="2"/>
      </c>
      <c r="H23" s="31"/>
      <c r="I23" s="31"/>
    </row>
    <row r="24" spans="1:9" ht="15">
      <c r="A24" s="68" t="s">
        <v>39</v>
      </c>
      <c r="B24" s="26">
        <f>IF(OR($B$11="",$B$6=""),"",$B$11*$B$6*2.291/2000)</f>
      </c>
      <c r="C24" s="26">
        <f>IF(OR(B24="",$B$5=""),"",B24/$B$5)</f>
      </c>
      <c r="D24" s="67">
        <f t="shared" si="0"/>
      </c>
      <c r="E24" s="26">
        <f>IF(OR($F$14="",$F$9=""),"",$F$14*$F$9*2.291/2000)</f>
      </c>
      <c r="F24" s="26">
        <f t="shared" si="1"/>
      </c>
      <c r="G24" s="67">
        <f t="shared" si="2"/>
      </c>
      <c r="H24" s="31"/>
      <c r="I24" s="31"/>
    </row>
    <row r="25" spans="1:9" ht="15">
      <c r="A25" s="69" t="s">
        <v>40</v>
      </c>
      <c r="B25" s="70">
        <f>IF(OR($B$12="",$B$6=""),"",$B$12*$B$6*1.2/2000)</f>
      </c>
      <c r="C25" s="70">
        <f>IF(OR(B25="",$B$5=""),"",B25/$B$5)</f>
      </c>
      <c r="D25" s="54">
        <f t="shared" si="0"/>
      </c>
      <c r="E25" s="70">
        <f>IF(OR($F$14="",$F$10=""),"",$F$14*$F$10*1.2/2000)</f>
      </c>
      <c r="F25" s="70">
        <f t="shared" si="1"/>
      </c>
      <c r="G25" s="54">
        <f t="shared" si="2"/>
      </c>
      <c r="H25" s="31"/>
      <c r="I25" s="31"/>
    </row>
    <row r="26" spans="1:9" ht="15">
      <c r="A26" s="71"/>
      <c r="B26" s="72"/>
      <c r="C26" s="72"/>
      <c r="D26" s="73"/>
      <c r="E26" s="74"/>
      <c r="F26" s="41"/>
      <c r="G26" s="41"/>
      <c r="H26" s="31"/>
      <c r="I26" s="31"/>
    </row>
    <row r="27" spans="1:9" ht="15">
      <c r="A27" s="75" t="s">
        <v>35</v>
      </c>
      <c r="B27" s="41"/>
      <c r="C27" s="41"/>
      <c r="D27" s="41"/>
      <c r="E27" s="41"/>
      <c r="F27" s="41"/>
      <c r="G27" s="41"/>
      <c r="H27" s="31"/>
      <c r="I27" s="31"/>
    </row>
    <row r="28" spans="1:9" ht="15">
      <c r="A28" s="78">
        <f ca="1">NOW()</f>
        <v>40084.68303958333</v>
      </c>
      <c r="B28" s="76"/>
      <c r="C28" s="76"/>
      <c r="D28" s="76"/>
      <c r="E28" s="76"/>
      <c r="F28" s="76"/>
      <c r="G28" s="41"/>
      <c r="H28" s="31"/>
      <c r="I28" s="31"/>
    </row>
    <row r="29" spans="1:7" ht="15">
      <c r="A29" s="6"/>
      <c r="B29" s="7"/>
      <c r="C29" s="7"/>
      <c r="D29" s="8"/>
      <c r="E29" s="9"/>
      <c r="F29" s="8"/>
      <c r="G29" s="3"/>
    </row>
    <row r="30" spans="1:7" ht="15">
      <c r="A30" s="6"/>
      <c r="B30" s="4"/>
      <c r="C30" s="4"/>
      <c r="D30" s="8"/>
      <c r="E30" s="9"/>
      <c r="F30" s="8"/>
      <c r="G30" s="3"/>
    </row>
    <row r="31" spans="1:7" ht="15">
      <c r="A31" s="10"/>
      <c r="B31" s="3"/>
      <c r="C31" s="3"/>
      <c r="D31" s="3"/>
      <c r="E31" s="3"/>
      <c r="F31" s="3"/>
      <c r="G31" s="3"/>
    </row>
    <row r="32" spans="1:7" ht="33" customHeight="1">
      <c r="A32" s="2"/>
      <c r="B32" s="3"/>
      <c r="C32" s="3"/>
      <c r="D32" s="3"/>
      <c r="E32" s="3"/>
      <c r="F32" s="3"/>
      <c r="G32" s="3"/>
    </row>
    <row r="33" spans="1:7" ht="15">
      <c r="A33" s="3"/>
      <c r="B33" s="5"/>
      <c r="C33" s="5"/>
      <c r="D33" s="5"/>
      <c r="E33" s="5"/>
      <c r="F33" s="3"/>
      <c r="G33" s="3"/>
    </row>
    <row r="34" spans="1:7" ht="15" customHeight="1">
      <c r="A34" s="11"/>
      <c r="B34" s="12"/>
      <c r="C34" s="12"/>
      <c r="D34" s="12"/>
      <c r="E34" s="13"/>
      <c r="F34" s="3"/>
      <c r="G34" s="3"/>
    </row>
    <row r="35" spans="1:7" ht="15" customHeight="1">
      <c r="A35" s="11"/>
      <c r="B35" s="12"/>
      <c r="C35" s="12"/>
      <c r="D35" s="12"/>
      <c r="E35" s="13"/>
      <c r="F35" s="3"/>
      <c r="G35" s="3"/>
    </row>
    <row r="36" spans="1:7" ht="15" customHeight="1">
      <c r="A36" s="11"/>
      <c r="B36" s="12"/>
      <c r="C36" s="12"/>
      <c r="D36" s="12"/>
      <c r="E36" s="13"/>
      <c r="F36" s="3"/>
      <c r="G36" s="3"/>
    </row>
    <row r="37" spans="1:7" ht="15">
      <c r="A37" s="11"/>
      <c r="B37" s="12"/>
      <c r="C37" s="12"/>
      <c r="D37" s="12"/>
      <c r="E37" s="13"/>
      <c r="F37" s="3"/>
      <c r="G37" s="3"/>
    </row>
    <row r="38" spans="1:7" ht="15">
      <c r="A38" s="14"/>
      <c r="B38" s="12"/>
      <c r="C38" s="12"/>
      <c r="D38" s="12"/>
      <c r="E38" s="13"/>
      <c r="F38" s="3"/>
      <c r="G38" s="3"/>
    </row>
    <row r="39" spans="1:7" ht="15">
      <c r="A39" s="14"/>
      <c r="B39" s="12"/>
      <c r="C39" s="12"/>
      <c r="D39" s="12"/>
      <c r="E39" s="13"/>
      <c r="F39" s="3"/>
      <c r="G39" s="3"/>
    </row>
    <row r="40" spans="1:7" ht="15">
      <c r="A40" s="3"/>
      <c r="B40" s="3"/>
      <c r="C40" s="3"/>
      <c r="D40" s="3"/>
      <c r="E40" s="15"/>
      <c r="F40" s="3"/>
      <c r="G40" s="3"/>
    </row>
    <row r="41" spans="1:7" ht="15">
      <c r="A41" s="16"/>
      <c r="B41" s="5"/>
      <c r="C41" s="5"/>
      <c r="D41" s="5"/>
      <c r="E41" s="17"/>
      <c r="F41" s="3"/>
      <c r="G41" s="3"/>
    </row>
    <row r="42" spans="1:7" ht="15">
      <c r="A42" s="18"/>
      <c r="B42" s="12"/>
      <c r="C42" s="12"/>
      <c r="D42" s="12"/>
      <c r="E42" s="13"/>
      <c r="F42" s="3"/>
      <c r="G42" s="3"/>
    </row>
    <row r="43" spans="1:7" ht="15">
      <c r="A43" s="18"/>
      <c r="B43" s="12"/>
      <c r="C43" s="12"/>
      <c r="D43" s="12"/>
      <c r="E43" s="13"/>
      <c r="F43" s="3"/>
      <c r="G43" s="3"/>
    </row>
    <row r="44" spans="1:7" ht="15">
      <c r="A44" s="18"/>
      <c r="B44" s="12"/>
      <c r="C44" s="12"/>
      <c r="D44" s="12"/>
      <c r="E44" s="13"/>
      <c r="F44" s="3"/>
      <c r="G44" s="3"/>
    </row>
    <row r="45" spans="1:7" ht="15">
      <c r="A45" s="18"/>
      <c r="B45" s="12"/>
      <c r="C45" s="12"/>
      <c r="D45" s="12"/>
      <c r="E45" s="13"/>
      <c r="F45" s="3"/>
      <c r="G45" s="3"/>
    </row>
    <row r="46" spans="1:7" ht="15">
      <c r="A46" s="18"/>
      <c r="B46" s="12"/>
      <c r="C46" s="12"/>
      <c r="D46" s="12"/>
      <c r="E46" s="13"/>
      <c r="F46" s="3"/>
      <c r="G46" s="3"/>
    </row>
    <row r="47" spans="1:7" ht="15">
      <c r="A47" s="18"/>
      <c r="B47" s="12"/>
      <c r="C47" s="12"/>
      <c r="D47" s="12"/>
      <c r="E47" s="1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</sheetData>
  <sheetProtection password="E5AE" sheet="1" objects="1" scenarios="1" selectLockedCells="1"/>
  <mergeCells count="4">
    <mergeCell ref="B18:D18"/>
    <mergeCell ref="E18:G18"/>
    <mergeCell ref="E11:F11"/>
    <mergeCell ref="F1:J1"/>
  </mergeCells>
  <printOptions/>
  <pageMargins left="0.25" right="0.25" top="0.75" bottom="0.75" header="0.3" footer="0.3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 Pettygrove</dc:creator>
  <cp:keywords/>
  <dc:description/>
  <cp:lastModifiedBy>Pettygrove</cp:lastModifiedBy>
  <cp:lastPrinted>2009-09-28T23:14:56Z</cp:lastPrinted>
  <dcterms:created xsi:type="dcterms:W3CDTF">2008-07-04T23:40:29Z</dcterms:created>
  <dcterms:modified xsi:type="dcterms:W3CDTF">2009-09-28T23:23:50Z</dcterms:modified>
  <cp:category/>
  <cp:version/>
  <cp:contentType/>
  <cp:contentStatus/>
</cp:coreProperties>
</file>